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90" activeTab="0"/>
  </bookViews>
  <sheets>
    <sheet name="ESTIMATO" sheetId="1" r:id="rId1"/>
  </sheets>
  <definedNames>
    <definedName name="_Regression_Int" localSheetId="0" hidden="1">1</definedName>
    <definedName name="_xlnm.Print_Area" localSheetId="0">'ESTIMATO'!$A$1:$O$54</definedName>
    <definedName name="Print_Area_MI">'ESTIMATO'!$A$1:$O$54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<sst xmlns="http://schemas.openxmlformats.org/spreadsheetml/2006/main" count="158" uniqueCount="54">
  <si>
    <t xml:space="preserve">      WORK PLACE EMISSIONS CONTROL ESTIMATOR</t>
  </si>
  <si>
    <t>Mine Name:</t>
  </si>
  <si>
    <t>Underground Metal and Nonmetal</t>
  </si>
  <si>
    <t>Column A</t>
  </si>
  <si>
    <t>Column B</t>
  </si>
  <si>
    <t>1. MEASURED OR ESTIMATED IN MINE DP EXPOSURE (ug/m3)</t>
  </si>
  <si>
    <t>ug/m3</t>
  </si>
  <si>
    <t>---</t>
  </si>
  <si>
    <t>2. VEHICLE EMISSION DATA</t>
  </si>
  <si>
    <t xml:space="preserve">   EMISSIONS OUTPUT (gm/hp-hr)</t>
  </si>
  <si>
    <t xml:space="preserve">     VEHICLE 1</t>
  </si>
  <si>
    <t>INDIRECT INJECTION 0.3-0.5 gm/hp-hr</t>
  </si>
  <si>
    <t>FEL</t>
  </si>
  <si>
    <t>gm/hp-hr</t>
  </si>
  <si>
    <t xml:space="preserve">     VEHICLE 2</t>
  </si>
  <si>
    <t>OLD DIRECT INJECTION 0.5-0.9 gm/hp-hr</t>
  </si>
  <si>
    <t>Truck 1</t>
  </si>
  <si>
    <t xml:space="preserve">     VEHICLE 3</t>
  </si>
  <si>
    <t>NEW DIRECT INJECTION 0.1-0.4 gm/hp-hr</t>
  </si>
  <si>
    <t>Truck2</t>
  </si>
  <si>
    <t xml:space="preserve">     VEHICLE 4</t>
  </si>
  <si>
    <t xml:space="preserve">   VEHICLE OPERATING TIME (hours)</t>
  </si>
  <si>
    <t>hours</t>
  </si>
  <si>
    <t xml:space="preserve">   VEHICLE HORSEPOWER (hp)</t>
  </si>
  <si>
    <t>hp</t>
  </si>
  <si>
    <t xml:space="preserve">   SHIFT DURATION (hours)</t>
  </si>
  <si>
    <t xml:space="preserve">   AVERAGE TOTAL SHIFT PARTICULATE OUTPUT (gm)</t>
  </si>
  <si>
    <t>GM</t>
  </si>
  <si>
    <t>3. MINE VENTILATION DATA</t>
  </si>
  <si>
    <t xml:space="preserve">   FULL SHIFT INTAKE DIESEL PARTICULATE CONCENTRATION</t>
  </si>
  <si>
    <t xml:space="preserve">   SECTION AIR QUANTITY</t>
  </si>
  <si>
    <t>cfm</t>
  </si>
  <si>
    <t>CF/SHIFT</t>
  </si>
  <si>
    <t xml:space="preserve">   AIRFLOW PER HORSEPOWER</t>
  </si>
  <si>
    <t>cfm/hp</t>
  </si>
  <si>
    <t>4. CALCULATED SWA DP CONCENTRATION WITHOUT CONTROLS</t>
  </si>
  <si>
    <t>TWA</t>
  </si>
  <si>
    <t>5. ADJUSTMENTS FOR EMISSION CONTROL TECHNOLOGY</t>
  </si>
  <si>
    <t xml:space="preserve">   ADJUSTED SECTION AIR QUANTITY</t>
  </si>
  <si>
    <t xml:space="preserve">     VENTILATION FACTOR (INITIAL CFM/FINAL CFM) </t>
  </si>
  <si>
    <t xml:space="preserve">     AIRFLOW PER HORSEPOWER</t>
  </si>
  <si>
    <t xml:space="preserve">   OXIDATION CATALYTIC CONVERTER REDUCTION (%)</t>
  </si>
  <si>
    <t>%</t>
  </si>
  <si>
    <t>IF USED ENTER 0-20%.</t>
  </si>
  <si>
    <t xml:space="preserve">   NEW ENGINE EMISSION RATE (gm/hp-hr)</t>
  </si>
  <si>
    <t>ENTER NEW ENGINE EMISSION (gm/hp-hr).</t>
  </si>
  <si>
    <t xml:space="preserve">   AFTERFILTER OR CAB EFFICIENCY (%)</t>
  </si>
  <si>
    <t>DPM CONTRIBUTIONS</t>
  </si>
  <si>
    <t>UG/M3</t>
  </si>
  <si>
    <t>USE 65-95% FOR AFTERFILTERS.</t>
  </si>
  <si>
    <t>USE 50-80% FOR CABS.</t>
  </si>
  <si>
    <t>6. ESTIMATED  FULL  SHIFT  DP CONCENTRATION</t>
  </si>
  <si>
    <t>TOTAL DPM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</si>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</sst>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</numFmts>
  <fonts count="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4" fontId="5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showGridLines="0" tabSelected="1" workbookViewId="0" topLeftCell="A1">
      <selection activeCell="A3" sqref="A3"/>
    </sheetView>
  </sheetViews>
  <sheetFormatPr defaultColWidth="11.3359375" defaultRowHeight="15.75"/>
  <cols>
    <col min="1" max="9" width="11.4453125" style="0" customWidth="1"/>
    <col min="10" max="13" width="0" style="0" hidden="1" customWidth="1"/>
    <col min="14" max="15" width="11.4453125" style="0" customWidth="1"/>
    <col min="16" max="20" width="0" style="0" hidden="1" customWidth="1"/>
    <col min="21" max="21" width="11.4453125" style="0" customWidth="1"/>
    <col min="22" max="26" width="0" style="0" hidden="1" customWidth="1"/>
    <col min="27" max="16384" width="11.4453125" style="0" customWidth="1"/>
  </cols>
  <sheetData>
    <row r="1" ht="15.75">
      <c r="D1" s="1" t="s">
        <v>0</v>
      </c>
    </row>
    <row r="2" spans="5:7" ht="15.75">
      <c r="E2" s="1" t="s">
        <v>1</v>
      </c>
      <c r="G2" s="1" t="s">
        <v>2</v>
      </c>
    </row>
    <row r="3" ht="15.75">
      <c r="A3" s="1"/>
    </row>
    <row r="4" spans="8:14" ht="15.75">
      <c r="H4" s="1" t="s">
        <v>3</v>
      </c>
      <c r="N4" s="1" t="s">
        <v>4</v>
      </c>
    </row>
    <row r="6" spans="1:14" ht="15.75">
      <c r="A6" s="1" t="s">
        <v>5</v>
      </c>
      <c r="H6" s="2">
        <v>330</v>
      </c>
      <c r="I6" s="1" t="s">
        <v>6</v>
      </c>
      <c r="N6" s="3" t="s">
        <v>7</v>
      </c>
    </row>
    <row r="8" ht="15.75">
      <c r="A8" s="1" t="s">
        <v>8</v>
      </c>
    </row>
    <row r="9" spans="1:8" ht="15.75">
      <c r="A9" s="1" t="s">
        <v>9</v>
      </c>
      <c r="H9" s="4"/>
    </row>
    <row r="10" spans="1:15" ht="15.75">
      <c r="A10" s="1" t="s">
        <v>10</v>
      </c>
      <c r="C10" s="1" t="s">
        <v>11</v>
      </c>
      <c r="G10" s="1" t="s">
        <v>12</v>
      </c>
      <c r="H10" s="5">
        <v>0.1</v>
      </c>
      <c r="I10" s="1" t="s">
        <v>13</v>
      </c>
      <c r="N10" s="5">
        <v>0.1</v>
      </c>
      <c r="O10" s="1" t="s">
        <v>13</v>
      </c>
    </row>
    <row r="11" spans="1:15" ht="15.75">
      <c r="A11" s="1" t="s">
        <v>14</v>
      </c>
      <c r="C11" s="1" t="s">
        <v>15</v>
      </c>
      <c r="G11" s="1" t="s">
        <v>16</v>
      </c>
      <c r="H11" s="5">
        <v>0.2</v>
      </c>
      <c r="I11" s="1" t="s">
        <v>13</v>
      </c>
      <c r="N11" s="5">
        <v>0.2</v>
      </c>
      <c r="O11" s="1" t="s">
        <v>13</v>
      </c>
    </row>
    <row r="12" spans="1:15" ht="15.75">
      <c r="A12" s="1" t="s">
        <v>17</v>
      </c>
      <c r="C12" s="1" t="s">
        <v>18</v>
      </c>
      <c r="G12" s="1" t="s">
        <v>19</v>
      </c>
      <c r="H12" s="5">
        <v>0.1</v>
      </c>
      <c r="I12" s="1" t="s">
        <v>13</v>
      </c>
      <c r="N12" s="5">
        <v>0.1</v>
      </c>
      <c r="O12" s="1" t="s">
        <v>13</v>
      </c>
    </row>
    <row r="13" spans="1:15" ht="15.75">
      <c r="A13" s="1" t="s">
        <v>20</v>
      </c>
      <c r="H13" s="5">
        <v>0.0001</v>
      </c>
      <c r="I13" s="1" t="s">
        <v>13</v>
      </c>
      <c r="N13" s="5">
        <v>0.0001</v>
      </c>
      <c r="O13" s="1" t="s">
        <v>13</v>
      </c>
    </row>
    <row r="14" spans="1:14" ht="15.75">
      <c r="A14" s="1" t="s">
        <v>21</v>
      </c>
      <c r="H14" s="4"/>
      <c r="N14" s="4"/>
    </row>
    <row r="15" spans="1:15" ht="15.75">
      <c r="A15" s="1" t="s">
        <v>10</v>
      </c>
      <c r="G15" s="1" t="s">
        <v>12</v>
      </c>
      <c r="H15" s="4">
        <v>9</v>
      </c>
      <c r="I15" s="1" t="s">
        <v>22</v>
      </c>
      <c r="N15" s="4">
        <v>9</v>
      </c>
      <c r="O15" s="1" t="s">
        <v>22</v>
      </c>
    </row>
    <row r="16" spans="1:15" ht="15.75">
      <c r="A16" s="1" t="s">
        <v>14</v>
      </c>
      <c r="G16" s="1" t="s">
        <v>16</v>
      </c>
      <c r="H16" s="4">
        <v>9</v>
      </c>
      <c r="I16" s="1" t="s">
        <v>22</v>
      </c>
      <c r="N16" s="4">
        <v>9</v>
      </c>
      <c r="O16" s="1" t="s">
        <v>22</v>
      </c>
    </row>
    <row r="17" spans="1:15" ht="15.75">
      <c r="A17" s="1" t="s">
        <v>17</v>
      </c>
      <c r="G17" s="1" t="s">
        <v>19</v>
      </c>
      <c r="H17" s="4">
        <v>9</v>
      </c>
      <c r="I17" s="1" t="s">
        <v>22</v>
      </c>
      <c r="N17" s="4">
        <v>9</v>
      </c>
      <c r="O17" s="1" t="s">
        <v>22</v>
      </c>
    </row>
    <row r="18" spans="1:15" ht="15.75">
      <c r="A18" s="1" t="s">
        <v>20</v>
      </c>
      <c r="H18" s="4">
        <v>0</v>
      </c>
      <c r="I18" s="1" t="s">
        <v>22</v>
      </c>
      <c r="N18" s="4">
        <v>0</v>
      </c>
      <c r="O18" s="1" t="s">
        <v>22</v>
      </c>
    </row>
    <row r="19" spans="1:14" ht="15.75">
      <c r="A19" s="1" t="s">
        <v>23</v>
      </c>
      <c r="H19" s="4"/>
      <c r="N19" s="4"/>
    </row>
    <row r="20" spans="1:15" ht="15.75">
      <c r="A20" s="1" t="s">
        <v>10</v>
      </c>
      <c r="G20" s="1" t="s">
        <v>12</v>
      </c>
      <c r="H20" s="6">
        <v>315</v>
      </c>
      <c r="I20" s="1" t="s">
        <v>24</v>
      </c>
      <c r="N20" s="6">
        <v>315</v>
      </c>
      <c r="O20" s="1" t="s">
        <v>24</v>
      </c>
    </row>
    <row r="21" spans="1:15" ht="15.75">
      <c r="A21" s="1" t="s">
        <v>14</v>
      </c>
      <c r="G21" s="1" t="s">
        <v>16</v>
      </c>
      <c r="H21" s="6">
        <v>250</v>
      </c>
      <c r="I21" s="1" t="s">
        <v>24</v>
      </c>
      <c r="N21" s="6">
        <v>250</v>
      </c>
      <c r="O21" s="1" t="s">
        <v>24</v>
      </c>
    </row>
    <row r="22" spans="1:15" ht="15.75">
      <c r="A22" s="1" t="s">
        <v>17</v>
      </c>
      <c r="G22" s="1" t="s">
        <v>19</v>
      </c>
      <c r="H22" s="6">
        <v>330</v>
      </c>
      <c r="I22" s="1" t="s">
        <v>24</v>
      </c>
      <c r="N22" s="6">
        <v>330</v>
      </c>
      <c r="O22" s="1" t="s">
        <v>24</v>
      </c>
    </row>
    <row r="23" spans="1:16" ht="15.75">
      <c r="A23" s="1" t="s">
        <v>20</v>
      </c>
      <c r="H23" s="6">
        <v>0.0001</v>
      </c>
      <c r="I23" s="1" t="s">
        <v>24</v>
      </c>
      <c r="N23" s="6">
        <v>0.0001</v>
      </c>
      <c r="O23" s="1" t="s">
        <v>24</v>
      </c>
      <c r="P23" s="7">
        <f>SUM(N20:N23)</f>
        <v>895.0001</v>
      </c>
    </row>
    <row r="24" spans="1:15" ht="15.75">
      <c r="A24" s="1" t="s">
        <v>25</v>
      </c>
      <c r="H24" s="4">
        <v>10</v>
      </c>
      <c r="I24" s="1" t="s">
        <v>22</v>
      </c>
      <c r="N24" s="4">
        <v>10</v>
      </c>
      <c r="O24" s="1" t="s">
        <v>22</v>
      </c>
    </row>
    <row r="25" spans="1:16" ht="15.75">
      <c r="A25" s="1" t="s">
        <v>26</v>
      </c>
      <c r="H25" s="8">
        <f>J25/((+H15*H20)+(+H16*H21)+(H17*H22)+(H18*H23))</f>
        <v>0.09153593663435332</v>
      </c>
      <c r="I25" s="1" t="s">
        <v>13</v>
      </c>
      <c r="J25" s="2">
        <f>(H6-H28)*J29/35317</f>
        <v>737.321969589716</v>
      </c>
      <c r="K25" s="1" t="s">
        <v>27</v>
      </c>
      <c r="N25" s="8">
        <f>P25/SUM(N20:N23)/N24</f>
        <v>0.1151396519397037</v>
      </c>
      <c r="O25" s="1" t="s">
        <v>13</v>
      </c>
      <c r="P25" s="4">
        <f>(N10*N15*N20)+(N11*N16*N21)+(N12*N17*N22)+(N13*N18*N23)</f>
        <v>1030.5</v>
      </c>
    </row>
    <row r="26" ht="15.75">
      <c r="N26" s="4"/>
    </row>
    <row r="27" spans="1:14" ht="15.75">
      <c r="A27" s="1" t="s">
        <v>28</v>
      </c>
      <c r="N27" s="4"/>
    </row>
    <row r="28" spans="1:15" ht="15.75">
      <c r="A28" s="1" t="s">
        <v>29</v>
      </c>
      <c r="H28" s="4">
        <v>50</v>
      </c>
      <c r="I28" s="1" t="s">
        <v>6</v>
      </c>
      <c r="N28" s="4">
        <v>50</v>
      </c>
      <c r="O28" s="1" t="s">
        <v>6</v>
      </c>
    </row>
    <row r="29" spans="1:19" ht="15.75">
      <c r="A29" s="1" t="s">
        <v>30</v>
      </c>
      <c r="H29" s="4">
        <v>155000</v>
      </c>
      <c r="I29" s="1" t="s">
        <v>31</v>
      </c>
      <c r="J29" s="7">
        <f>H24*60*H29/1000</f>
        <v>93000</v>
      </c>
      <c r="K29" s="1" t="s">
        <v>32</v>
      </c>
      <c r="N29" s="4">
        <v>155000</v>
      </c>
      <c r="O29" s="1" t="s">
        <v>31</v>
      </c>
      <c r="P29" s="7">
        <f>N24*60*N29/1000</f>
        <v>93000</v>
      </c>
      <c r="Q29" s="1" t="s">
        <v>32</v>
      </c>
      <c r="S29" s="2"/>
    </row>
    <row r="30" spans="1:19" ht="15.75">
      <c r="A30" s="1" t="s">
        <v>33</v>
      </c>
      <c r="H30" s="2">
        <f>H29/(SUM(H20:H23))</f>
        <v>173.18433819169405</v>
      </c>
      <c r="I30" s="1" t="s">
        <v>34</v>
      </c>
      <c r="N30" s="2">
        <f>N29/(SUM(N20:N23))</f>
        <v>173.18433819169405</v>
      </c>
      <c r="O30" s="1" t="s">
        <v>34</v>
      </c>
      <c r="S30" s="2"/>
    </row>
    <row r="31" ht="15.75">
      <c r="S31" s="2"/>
    </row>
    <row r="32" spans="1:19" ht="15.75">
      <c r="A32" s="1" t="s">
        <v>35</v>
      </c>
      <c r="H32" s="3" t="s">
        <v>7</v>
      </c>
      <c r="N32" s="2">
        <f>P32*N24/8</f>
        <v>551.25</v>
      </c>
      <c r="O32" s="1" t="s">
        <v>6</v>
      </c>
      <c r="P32" s="7">
        <f>TRUNC(((P25*1000)/(P29/35.3))+N28)</f>
        <v>441</v>
      </c>
      <c r="Q32" s="1" t="s">
        <v>36</v>
      </c>
      <c r="S32" s="2"/>
    </row>
    <row r="33" ht="15.75">
      <c r="S33" s="2"/>
    </row>
    <row r="34" spans="1:19" ht="15.75">
      <c r="A34" s="1" t="s">
        <v>37</v>
      </c>
      <c r="S34" s="2"/>
    </row>
    <row r="35" spans="1:19" ht="15.75">
      <c r="A35" s="1" t="s">
        <v>38</v>
      </c>
      <c r="H35" s="4">
        <v>155000</v>
      </c>
      <c r="I35" s="1" t="s">
        <v>31</v>
      </c>
      <c r="N35" s="4">
        <v>155000</v>
      </c>
      <c r="O35" s="1" t="s">
        <v>31</v>
      </c>
      <c r="S35" s="2"/>
    </row>
    <row r="36" spans="1:19" ht="15.75">
      <c r="A36" s="1" t="s">
        <v>39</v>
      </c>
      <c r="H36" s="8">
        <f>H29/H35</f>
        <v>1</v>
      </c>
      <c r="N36" s="8">
        <v>1</v>
      </c>
      <c r="S36" s="2"/>
    </row>
    <row r="37" spans="1:15" ht="15.75">
      <c r="A37" s="1" t="s">
        <v>40</v>
      </c>
      <c r="H37" s="2">
        <f>H35/(SUM(H20:H23))</f>
        <v>173.18433819169405</v>
      </c>
      <c r="I37" s="1" t="s">
        <v>34</v>
      </c>
      <c r="N37" s="2">
        <f>N35/(SUM(N20:N23))</f>
        <v>173.18433819169405</v>
      </c>
      <c r="O37" s="1" t="s">
        <v>34</v>
      </c>
    </row>
    <row r="38" spans="1:14" ht="15.75">
      <c r="A38" s="1" t="s">
        <v>41</v>
      </c>
      <c r="H38" s="4"/>
      <c r="N38" s="4"/>
    </row>
    <row r="39" spans="1:15" ht="15.75">
      <c r="A39" s="1" t="s">
        <v>10</v>
      </c>
      <c r="H39" s="4">
        <v>0</v>
      </c>
      <c r="I39" s="1" t="s">
        <v>42</v>
      </c>
      <c r="N39" s="4">
        <v>20</v>
      </c>
      <c r="O39" s="1" t="s">
        <v>42</v>
      </c>
    </row>
    <row r="40" spans="1:15" ht="15.75">
      <c r="A40" s="1" t="s">
        <v>14</v>
      </c>
      <c r="C40" s="1" t="s">
        <v>43</v>
      </c>
      <c r="H40" s="4">
        <v>0</v>
      </c>
      <c r="I40" s="1" t="s">
        <v>42</v>
      </c>
      <c r="N40" s="4">
        <v>20</v>
      </c>
      <c r="O40" s="1" t="s">
        <v>42</v>
      </c>
    </row>
    <row r="41" spans="1:15" ht="15.75">
      <c r="A41" s="1" t="s">
        <v>17</v>
      </c>
      <c r="H41" s="4">
        <v>0</v>
      </c>
      <c r="I41" s="1" t="s">
        <v>42</v>
      </c>
      <c r="N41" s="4">
        <v>0</v>
      </c>
      <c r="O41" s="1" t="s">
        <v>42</v>
      </c>
    </row>
    <row r="42" spans="1:15" ht="15.75">
      <c r="A42" s="1" t="s">
        <v>20</v>
      </c>
      <c r="H42" s="4">
        <v>0</v>
      </c>
      <c r="I42" s="1" t="s">
        <v>42</v>
      </c>
      <c r="N42" s="4">
        <v>0</v>
      </c>
      <c r="O42" s="1" t="s">
        <v>42</v>
      </c>
    </row>
    <row r="43" spans="1:14" ht="15.75">
      <c r="A43" s="1" t="s">
        <v>44</v>
      </c>
      <c r="H43" s="4"/>
      <c r="N43" s="4"/>
    </row>
    <row r="44" spans="1:17" ht="15.75">
      <c r="A44" s="1" t="s">
        <v>10</v>
      </c>
      <c r="H44" s="9">
        <f>H10</f>
        <v>0.1</v>
      </c>
      <c r="I44" s="1" t="s">
        <v>13</v>
      </c>
      <c r="J44" s="4">
        <f>100*(N10-H44)/N10</f>
        <v>0</v>
      </c>
      <c r="K44" s="1" t="s">
        <v>42</v>
      </c>
      <c r="N44" s="9">
        <f>N10</f>
        <v>0.1</v>
      </c>
      <c r="O44" s="1" t="s">
        <v>13</v>
      </c>
      <c r="P44" s="4">
        <f>100*(+N10-N44)/N10</f>
        <v>0</v>
      </c>
      <c r="Q44" s="1" t="s">
        <v>42</v>
      </c>
    </row>
    <row r="45" spans="1:17" ht="15.75">
      <c r="A45" s="1" t="s">
        <v>14</v>
      </c>
      <c r="C45" s="1" t="s">
        <v>45</v>
      </c>
      <c r="H45" s="9">
        <f>H11</f>
        <v>0.2</v>
      </c>
      <c r="I45" s="1" t="s">
        <v>13</v>
      </c>
      <c r="J45" s="4">
        <f>100*(N11-H45)/N11</f>
        <v>0</v>
      </c>
      <c r="K45" s="1" t="s">
        <v>42</v>
      </c>
      <c r="N45" s="9">
        <f>N11</f>
        <v>0.2</v>
      </c>
      <c r="O45" s="1" t="s">
        <v>13</v>
      </c>
      <c r="P45" s="4">
        <f>100*(+N11-N45)/N11</f>
        <v>0</v>
      </c>
      <c r="Q45" s="1" t="s">
        <v>42</v>
      </c>
    </row>
    <row r="46" spans="1:17" ht="15.75">
      <c r="A46" s="1" t="s">
        <v>17</v>
      </c>
      <c r="H46" s="9">
        <f>H12</f>
        <v>0.1</v>
      </c>
      <c r="I46" s="1" t="s">
        <v>13</v>
      </c>
      <c r="J46" s="4">
        <f>100*(N12-H46)/N12</f>
        <v>0</v>
      </c>
      <c r="K46" s="1" t="s">
        <v>42</v>
      </c>
      <c r="N46" s="9">
        <f>N12</f>
        <v>0.1</v>
      </c>
      <c r="O46" s="1" t="s">
        <v>13</v>
      </c>
      <c r="P46" s="4">
        <f>100*(+N12-N46)/N12</f>
        <v>0</v>
      </c>
      <c r="Q46" s="1" t="s">
        <v>42</v>
      </c>
    </row>
    <row r="47" spans="1:17" ht="15.75">
      <c r="A47" s="1" t="s">
        <v>20</v>
      </c>
      <c r="H47" s="9">
        <f>H13</f>
        <v>0.0001</v>
      </c>
      <c r="I47" s="1" t="s">
        <v>13</v>
      </c>
      <c r="J47" s="4">
        <f>100*(N13-H47)/N13</f>
        <v>0</v>
      </c>
      <c r="K47" s="1" t="s">
        <v>42</v>
      </c>
      <c r="N47" s="9">
        <f>N13</f>
        <v>0.0001</v>
      </c>
      <c r="O47" s="1" t="s">
        <v>13</v>
      </c>
      <c r="P47" s="4">
        <f>100*(+N13-N47)/N13</f>
        <v>0</v>
      </c>
      <c r="Q47" s="1" t="s">
        <v>42</v>
      </c>
    </row>
    <row r="48" spans="1:16" ht="15.75">
      <c r="A48" s="1" t="s">
        <v>46</v>
      </c>
      <c r="H48" s="4"/>
      <c r="J48" s="1" t="s">
        <v>47</v>
      </c>
      <c r="N48" s="4"/>
      <c r="P48" s="1" t="s">
        <v>47</v>
      </c>
    </row>
    <row r="49" spans="1:17" ht="15.75">
      <c r="A49" s="1" t="s">
        <v>10</v>
      </c>
      <c r="H49" s="4">
        <v>60</v>
      </c>
      <c r="I49" s="1" t="s">
        <v>42</v>
      </c>
      <c r="J49" s="7">
        <f>(H15/$H$24)*1000*(+$H$25/60*H20*35315/$H$29*$H$36*(1-H39/100)*(1-J44/100)*(1-H49/100))</f>
        <v>39.4167621176628</v>
      </c>
      <c r="K49" s="1" t="s">
        <v>48</v>
      </c>
      <c r="N49" s="4">
        <v>60</v>
      </c>
      <c r="O49" s="1" t="s">
        <v>42</v>
      </c>
      <c r="P49" s="7">
        <f>(((N10*N15*N20*1000)/($P$29/35.3))*(1-(P44/100))*(1-(N49/100))*(1-(N39/100)))*$N$36</f>
        <v>34.43458064516129</v>
      </c>
      <c r="Q49" s="1" t="s">
        <v>48</v>
      </c>
    </row>
    <row r="50" spans="1:17" ht="15.75">
      <c r="A50" s="1" t="s">
        <v>14</v>
      </c>
      <c r="C50" s="1" t="s">
        <v>49</v>
      </c>
      <c r="H50" s="4">
        <v>60</v>
      </c>
      <c r="I50" s="1" t="s">
        <v>42</v>
      </c>
      <c r="J50" s="7">
        <f>(H16/$H$24)*1000*(+$H$25/60*H21*35315/$H$29*$H$36*(1-H40/100)*(1-J45/100)*(1-H50/100))</f>
        <v>31.283144537827624</v>
      </c>
      <c r="K50" s="1" t="s">
        <v>48</v>
      </c>
      <c r="N50" s="4">
        <v>60</v>
      </c>
      <c r="O50" s="1" t="s">
        <v>42</v>
      </c>
      <c r="P50" s="7">
        <f>(((N11*N16*N21*1000)/($P$29/35.3))*(1-(P45/100))*(1-(N50/100))*(1-(N40/100)))*$N$36</f>
        <v>54.65806451612903</v>
      </c>
      <c r="Q50" s="1" t="s">
        <v>48</v>
      </c>
    </row>
    <row r="51" spans="1:17" ht="15.75">
      <c r="A51" s="1" t="s">
        <v>17</v>
      </c>
      <c r="C51" s="1" t="s">
        <v>50</v>
      </c>
      <c r="H51" s="4">
        <v>60</v>
      </c>
      <c r="I51" s="1" t="s">
        <v>42</v>
      </c>
      <c r="J51" s="7">
        <f>(H17/$H$24)*1000*(+$H$25/60*H22*35315/$H$29*$H$36*(1-H41/100)*(1-J46/100)*(1-H51/100))</f>
        <v>41.29375078993246</v>
      </c>
      <c r="K51" s="1" t="s">
        <v>48</v>
      </c>
      <c r="N51" s="4">
        <v>60</v>
      </c>
      <c r="O51" s="1" t="s">
        <v>42</v>
      </c>
      <c r="P51" s="7">
        <f>(((N12*N17*N22*1000)/($P$29/35.3))*(1-(P46/100))*(1-(N51/100))*(1-(N41/100)))*$N$36</f>
        <v>45.09290322580645</v>
      </c>
      <c r="Q51" s="1" t="s">
        <v>48</v>
      </c>
    </row>
    <row r="52" spans="1:17" ht="15.75">
      <c r="A52" s="1" t="s">
        <v>20</v>
      </c>
      <c r="H52" s="4">
        <v>0</v>
      </c>
      <c r="I52" s="1" t="s">
        <v>42</v>
      </c>
      <c r="J52" s="7">
        <f>(H18/$H$24)*1000*(+$H$25/60*H23*35315/$H$29*$H$36*(1-H42/100)*(1-J47/100)*(1-H52/100))</f>
        <v>0</v>
      </c>
      <c r="K52" s="1" t="s">
        <v>48</v>
      </c>
      <c r="N52" s="4">
        <v>0</v>
      </c>
      <c r="O52" s="1" t="s">
        <v>42</v>
      </c>
      <c r="P52" s="7">
        <f>(((N13*N18*N23*1000)/($P$29/35.3))*(1-(P47/100))*(1-(N52/100))*(1-(N42/100)))*$N$36</f>
        <v>0</v>
      </c>
      <c r="Q52" s="1" t="s">
        <v>48</v>
      </c>
    </row>
    <row r="53" spans="8:14" ht="15.75">
      <c r="H53" s="4"/>
      <c r="N53" s="4"/>
    </row>
    <row r="54" spans="1:16" ht="15.75">
      <c r="A54" s="1" t="s">
        <v>51</v>
      </c>
      <c r="H54" s="2">
        <f>SUM(J49:J52)+(H28)</f>
        <v>161.99365744542288</v>
      </c>
      <c r="I54" s="1" t="s">
        <v>6</v>
      </c>
      <c r="J54" s="1" t="s">
        <v>52</v>
      </c>
      <c r="N54" s="2">
        <f>SUM(P49:P52)+(N28)</f>
        <v>184.1855483870968</v>
      </c>
      <c r="O54" s="1" t="s">
        <v>6</v>
      </c>
      <c r="P54" s="1" t="s">
        <v>52</v>
      </c>
    </row>
    <row r="58" ht="15.75">
      <c r="H58" s="1" t="s">
        <v>53</v>
      </c>
    </row>
  </sheetData>
  <printOptions/>
  <pageMargins left="0.5" right="0.5" top="0.5" bottom="0.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